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CCD3BE21-9640-4F07-9F0C-2DEF81011AA3}" xr6:coauthVersionLast="47" xr6:coauthVersionMax="47" xr10:uidLastSave="{00000000-0000-0000-0000-000000000000}"/>
  <bookViews>
    <workbookView xWindow="-110" yWindow="-110" windowWidth="19420" windowHeight="11620" tabRatio="433"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3" i="10" l="1"/>
  <c r="D123" i="10" s="1"/>
  <c r="Q122" i="8"/>
  <c r="N122" i="8"/>
  <c r="J122" i="8" l="1"/>
  <c r="O122" i="8" l="1"/>
  <c r="I122" i="8"/>
  <c r="K122" i="8"/>
  <c r="R122" i="8"/>
  <c r="P122" i="8"/>
  <c r="O121" i="8"/>
  <c r="N121" i="8"/>
  <c r="C122" i="8" l="1"/>
  <c r="D122" i="8"/>
  <c r="R121" i="8"/>
  <c r="Q121" i="8"/>
  <c r="P121" i="8"/>
  <c r="K121" i="8"/>
  <c r="J121" i="8"/>
  <c r="I121" i="8"/>
  <c r="P120" i="8"/>
  <c r="K120" i="8"/>
  <c r="J120" i="8"/>
  <c r="I120" i="8"/>
  <c r="N120" i="8"/>
  <c r="Q120" i="8" s="1"/>
  <c r="D121" i="8" l="1"/>
  <c r="C121" i="8"/>
  <c r="C122" i="10" s="1"/>
  <c r="N119" i="8"/>
  <c r="O120" i="8" l="1"/>
  <c r="R120" i="8" s="1"/>
  <c r="Q119" i="8"/>
  <c r="C120" i="8" l="1"/>
  <c r="D120" i="8"/>
  <c r="C121" i="10" l="1"/>
  <c r="D122" i="10" s="1"/>
  <c r="K119" i="8"/>
  <c r="J119" i="8"/>
  <c r="I119" i="8"/>
  <c r="P119" i="8"/>
  <c r="O119" i="8"/>
  <c r="R119" i="8" s="1"/>
  <c r="C119" i="8" l="1"/>
  <c r="D119" i="8"/>
  <c r="C120" i="10" s="1"/>
  <c r="D121" i="10" s="1"/>
  <c r="N118" i="8"/>
  <c r="I118" i="8" l="1"/>
  <c r="J118" i="8"/>
  <c r="K118" i="8"/>
  <c r="Q118" i="8"/>
  <c r="O118" i="8"/>
  <c r="R118" i="8" s="1"/>
  <c r="P118" i="8"/>
  <c r="N117" i="8"/>
  <c r="C118" i="8" l="1"/>
  <c r="D118" i="8"/>
  <c r="O117" i="8"/>
  <c r="R117" i="8" s="1"/>
  <c r="P117" i="8"/>
  <c r="Q117" i="8"/>
  <c r="I117" i="8"/>
  <c r="J117" i="8"/>
  <c r="K117" i="8"/>
  <c r="C119" i="10" l="1"/>
  <c r="D120" i="10" s="1"/>
  <c r="C117" i="8"/>
  <c r="D117" i="8"/>
  <c r="C118" i="10"/>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C116" i="10"/>
  <c r="D117" i="10" s="1"/>
  <c r="Q114" i="8"/>
  <c r="P114" i="8"/>
  <c r="K114" i="8"/>
  <c r="J114" i="8"/>
  <c r="I114" i="8"/>
  <c r="O114" i="8"/>
  <c r="R114" i="8" s="1"/>
  <c r="D114" i="8" l="1"/>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26"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8" i="10" s="1"/>
  <c r="C106" i="8"/>
  <c r="D109" i="10" l="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D38" i="3"/>
  <c r="E38" i="3"/>
  <c r="C84" i="8"/>
  <c r="D84" i="8"/>
  <c r="C36" i="3"/>
  <c r="C35" i="3" s="1"/>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53"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<sst xmlns="http://schemas.openxmlformats.org/spreadsheetml/2006/main" count="154" uniqueCount="65">
  <si>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</si>
  <si>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</si>
  <si>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</si>
  <si>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</si>
  <si>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</si>
  <si>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</si>
  <si>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</si>
  <si>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</si>
  <si>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</si>
  <si>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</si>
  <si>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</si>
  <si>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</si>
  <si>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</si>
  <si>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</si>
  <si>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</si>
  <si>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</si>
  <si>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</si>
  <si>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</si>
  <si>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</si>
  <si>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</si>
  <si>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</si>
  <si>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</si>
  <si>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</si>
  <si>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</si>
  <si>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</si>
  <si>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</si>
  <si>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</si>
  <si>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</si>
  <si>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</si>
  <si>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</si>
  <si>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</si>
  <si>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</si>
  <si>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</si>
  <si>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</si>
  <si>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</si>
  <si>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</si>
  <si>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</si>
  <si>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</si>
  <si>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</si>
  <si>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</si>
  <si>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</si>
  <si>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</si>
  <si>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</si>
  <si>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</si>
  <si>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</si>
  <si>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</si>
  <si>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</si>
  <si>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</si>
  <si>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</si>
  <si>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</si>
  <si>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</si>
  <si>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</si>
  <si>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</si>
  <si>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</si>
  <si>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</si>
  <si>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</si>
  <si>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</si>
  <si>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</si>
  <si>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</si>
  <si>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</si>
  <si>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©Agriculture and Horticulture Development Board 2024. All rights reserved.</t>
  </si>
  <si>
    <t>Please note the published values for whey powder have been adjusted between February 2023 and January 2024 due to a revision in the EU product values. MCVE and MMV have been adjusted accordingly.  There is no change to AMPE</t>
  </si>
  <si>
    <r>
      <rPr>
        <b/>
        <sz val="12"/>
        <color rgb="FF575756"/>
        <rFont val="Arial"/>
        <family val="2"/>
      </rPr>
      <t xml:space="preserve">Last updated: </t>
    </r>
    <r>
      <rPr>
        <sz val="12"/>
        <color rgb="FF575756"/>
        <rFont val="Arial"/>
        <family val="2"/>
      </rPr>
      <t>25/07/2024</t>
    </r>
  </si>
  <si>
    <r>
      <rPr>
        <b/>
        <sz val="12"/>
        <color rgb="FF575756"/>
        <rFont val="Arial"/>
        <family val="2"/>
      </rPr>
      <t xml:space="preserve">Last updated: </t>
    </r>
    <r>
      <rPr>
        <sz val="12"/>
        <color rgb="FF575756"/>
        <rFont val="Arial"/>
        <family val="2"/>
      </rPr>
      <t>25/09/2024</t>
    </r>
  </si>
  <si>
    <r>
      <rPr>
        <b/>
        <sz val="12"/>
        <color rgb="FF575756"/>
        <rFont val="Arial"/>
        <family val="2"/>
      </rPr>
      <t>Last updated:</t>
    </r>
    <r>
      <rPr>
        <sz val="12"/>
        <color rgb="FF575756"/>
        <rFont val="Arial"/>
        <family val="2"/>
      </rPr>
      <t xml:space="preserve"> 25/09/2024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</si>
</sst>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168" fontId="11" fillId="3" borderId="0" xfId="1" applyNumberFormat="1" applyFont="1" applyFill="1" applyAlignment="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9" fontId="11" fillId="3" borderId="0" xfId="1" applyFont="1" applyFill="1" applyAlignme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'AMPE-MCVE'!$B$9:$B$126</c:f>
              <c:numCache>
                <c:formatCode>mmm\-yy</c:formatCode>
                <c:ptCount val="11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numCache>
            </c:numRef>
          </c:cat>
          <c:val>
            <c:numRef>
              <c:f>'AMPE-MCVE'!$C$9:$C$126</c:f>
              <c:numCache>
                <c:formatCode>#,##0.0</c:formatCode>
                <c:ptCount val="118"/>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pt idx="113">
                  <c:v>47.149027089053895</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'AMPE-MCVE'!$B$9:$B$126</c:f>
              <c:numCache>
                <c:formatCode>mmm\-yy</c:formatCode>
                <c:ptCount val="11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numCache>
            </c:numRef>
          </c:cat>
          <c:val>
            <c:numRef>
              <c:f>'AMPE-MCVE'!$D$9:$D$126</c:f>
              <c:numCache>
                <c:formatCode>#,##0.0</c:formatCode>
                <c:ptCount val="118"/>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pt idx="113">
                  <c:v>44.806580617020224</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536"/>
          <c:min val="44440"/>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pt idx="113">
                  <c:v>45.275069911426954</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536"/>
          <c:min val="44440"/>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131821</xdr:colOff>
      <xdr:row>2</xdr:row>
      <xdr:rowOff>21112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335597</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30460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30460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30425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696912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179665</xdr:colOff>
      <xdr:row>1</xdr:row>
      <xdr:rowOff>10775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179665</xdr:colOff>
      <xdr:row>1</xdr:row>
      <xdr:rowOff>10775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49388</xdr:colOff>
      <xdr:row>1</xdr:row>
      <xdr:rowOff>10740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29883</xdr:colOff>
      <xdr:row>0</xdr:row>
      <xdr:rowOff>149412</xdr:rowOff>
    </xdr:from>
    <xdr:to>
      <xdr:col>22</xdr:col>
      <xdr:colOff>346150</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23"/>
  <sheetViews>
    <sheetView tabSelected="1" zoomScale="90" zoomScaleNormal="90" workbookViewId="0">
      <pane xSplit="2" ySplit="9" topLeftCell="C114" activePane="bottomRight" state="frozen"/>
      <selection pane="topRight" activeCell="C1" sqref="C1"/>
      <selection pane="bottomLeft" activeCell="A10" sqref="A10"/>
      <selection pane="bottomRight" activeCell="I9" sqref="I9"/>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64</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 t="shared" ref="D117:D123" si="18">C117-C116</f>
        <v>-0.62394906208797352</v>
      </c>
    </row>
    <row r="118" spans="2:4" ht="15.5" x14ac:dyDescent="0.3">
      <c r="B118" s="42">
        <v>45383</v>
      </c>
      <c r="C118" s="82">
        <f>(0.2*'AMPE-MCVE'!C117)+(0.8*'AMPE-MCVE'!D117)</f>
        <v>35.682998771983478</v>
      </c>
      <c r="D118" s="37">
        <f t="shared" si="18"/>
        <v>-0.66646551346285321</v>
      </c>
    </row>
    <row r="119" spans="2:4" ht="15.5" x14ac:dyDescent="0.3">
      <c r="B119" s="41">
        <v>45413</v>
      </c>
      <c r="C119" s="83">
        <f>(0.2*'AMPE-MCVE'!C118)+(0.8*'AMPE-MCVE'!D118)</f>
        <v>36.538642873957642</v>
      </c>
      <c r="D119" s="34">
        <f t="shared" si="18"/>
        <v>0.85564410197416407</v>
      </c>
    </row>
    <row r="120" spans="2:4" ht="15.5" x14ac:dyDescent="0.3">
      <c r="B120" s="42">
        <v>45444</v>
      </c>
      <c r="C120" s="82">
        <f>(0.2*'AMPE-MCVE'!C119)+(0.8*'AMPE-MCVE'!D119)</f>
        <v>38.65149442735521</v>
      </c>
      <c r="D120" s="37">
        <f t="shared" si="18"/>
        <v>2.1128515533975687</v>
      </c>
    </row>
    <row r="121" spans="2:4" ht="15.5" x14ac:dyDescent="0.3">
      <c r="B121" s="41">
        <v>45474</v>
      </c>
      <c r="C121" s="83">
        <f>(0.2*'AMPE-MCVE'!C120)+(0.8*'AMPE-MCVE'!D120)</f>
        <v>39.819190301524969</v>
      </c>
      <c r="D121" s="34">
        <f t="shared" si="18"/>
        <v>1.167695874169759</v>
      </c>
    </row>
    <row r="122" spans="2:4" ht="15.5" x14ac:dyDescent="0.3">
      <c r="B122" s="42">
        <v>45505</v>
      </c>
      <c r="C122" s="82">
        <f>(0.2*'AMPE-MCVE'!C121)+(0.8*'AMPE-MCVE'!D121)</f>
        <v>41.294244057346077</v>
      </c>
      <c r="D122" s="37">
        <f t="shared" si="18"/>
        <v>1.4750537558211079</v>
      </c>
    </row>
    <row r="123" spans="2:4" ht="15.5" x14ac:dyDescent="0.3">
      <c r="B123" s="41">
        <v>45536</v>
      </c>
      <c r="C123" s="83">
        <f>(0.2*'AMPE-MCVE'!C122)+(0.8*'AMPE-MCVE'!D122)</f>
        <v>45.275069911426954</v>
      </c>
      <c r="D123" s="34">
        <f t="shared" si="18"/>
        <v>3.9808258540808765</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29"/>
  <sheetViews>
    <sheetView showGridLines="0" zoomScale="90" zoomScaleNormal="90" zoomScaleSheetLayoutView="143" zoomScalePageLayoutView="123" workbookViewId="0">
      <pane xSplit="2" ySplit="8" topLeftCell="C112" activePane="bottomRight" state="frozen"/>
      <selection activeCell="B107" sqref="B107"/>
      <selection pane="topRight" activeCell="B107" sqref="B107"/>
      <selection pane="bottomLeft" activeCell="B107" sqref="B107"/>
      <selection pane="bottomRight" activeCell="C123" sqref="C123"/>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63</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9"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9"/>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9"/>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9"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9"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9"/>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9"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9"/>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9"/>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9"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 t="shared" ref="O116:O121" si="96">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2"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 t="shared" si="96"/>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 t="shared" si="96"/>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 t="shared" si="96"/>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2" t="s">
        <v>53</v>
      </c>
      <c r="B120" s="41">
        <v>45474</v>
      </c>
      <c r="C120" s="34">
        <f>I120+J120+K120</f>
        <v>40.488741391093811</v>
      </c>
      <c r="D120" s="34">
        <f t="shared" ref="D120" si="97">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 t="shared" si="96"/>
        <v>5380</v>
      </c>
      <c r="P120" s="34">
        <f>(M120-'Processing costs'!G120)*100/9100</f>
        <v>36.450549450549453</v>
      </c>
      <c r="Q120" s="34">
        <f>(N120-'Processing costs'!H120)*100/16700</f>
        <v>0.74369210297353994</v>
      </c>
      <c r="R120" s="34">
        <f>(O120-'Processing costs'!I120)*100/205000</f>
        <v>2.4575609756097561</v>
      </c>
    </row>
    <row r="121" spans="1:45" x14ac:dyDescent="0.35">
      <c r="A121" s="92"/>
      <c r="B121" s="42">
        <v>45505</v>
      </c>
      <c r="C121" s="37">
        <f>I121+J121+K121</f>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 t="shared" si="96"/>
        <v>5800</v>
      </c>
      <c r="P121" s="37">
        <f>(M121-'Processing costs'!G121)*100/9100</f>
        <v>37.439560439560438</v>
      </c>
      <c r="Q121" s="37">
        <f>(N121-'Processing costs'!H121)*100/16700</f>
        <v>0.84457728437233126</v>
      </c>
      <c r="R121" s="37">
        <f>(O121-'Processing costs'!I121)*100/205000</f>
        <v>2.662439024390244</v>
      </c>
    </row>
    <row r="122" spans="1:45" x14ac:dyDescent="0.35">
      <c r="A122" s="92"/>
      <c r="B122" s="41">
        <v>45536</v>
      </c>
      <c r="C122" s="34">
        <f>I122+J122+K122</f>
        <v>47.149027089053895</v>
      </c>
      <c r="D122" s="34">
        <f t="shared" ref="D122" si="98">P122+Q122+R122</f>
        <v>44.806580617020224</v>
      </c>
      <c r="E122" s="35"/>
      <c r="F122" s="36">
        <v>6730</v>
      </c>
      <c r="G122" s="36">
        <v>2150</v>
      </c>
      <c r="H122" s="36">
        <v>677</v>
      </c>
      <c r="I122" s="34">
        <f>(F122-'Processing costs'!C122)*100/19900</f>
        <v>32.100502512562812</v>
      </c>
      <c r="J122" s="34">
        <f>((G122-103)-'Processing costs'!E122)*100/203600</f>
        <v>0.72347740667976423</v>
      </c>
      <c r="K122" s="34">
        <f>(G122-'Processing costs'!D122-H122*8.5%)*100/10600</f>
        <v>14.32504716981132</v>
      </c>
      <c r="L122" s="35"/>
      <c r="M122" s="36">
        <v>4150</v>
      </c>
      <c r="N122" s="36">
        <f>876.5/1.17</f>
        <v>749.14529914529919</v>
      </c>
      <c r="O122" s="36">
        <f>F122-300</f>
        <v>6430</v>
      </c>
      <c r="P122" s="34">
        <f>(M122-'Processing costs'!G122)*100/9100</f>
        <v>40.626373626373628</v>
      </c>
      <c r="Q122" s="34">
        <f>(N122-'Processing costs'!H122)*100/16700</f>
        <v>1.2104508930856239</v>
      </c>
      <c r="R122" s="34">
        <f>(O122-'Processing costs'!I122)*100/205000</f>
        <v>2.9697560975609756</v>
      </c>
    </row>
    <row r="123" spans="1:45" x14ac:dyDescent="0.3">
      <c r="B123" s="16"/>
      <c r="C123" s="16"/>
      <c r="D123" s="16"/>
      <c r="E123" s="16"/>
      <c r="F123" s="24"/>
      <c r="G123" s="24"/>
      <c r="H123" s="24"/>
      <c r="I123" s="24"/>
      <c r="J123" s="24"/>
      <c r="K123" s="24"/>
      <c r="L123" s="16"/>
      <c r="M123" s="93"/>
      <c r="N123" s="88"/>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
      <c r="B124" s="16"/>
      <c r="C124" s="16"/>
      <c r="D124" s="16"/>
      <c r="E124" s="16"/>
      <c r="F124" s="24"/>
      <c r="G124" s="24"/>
      <c r="H124" s="24"/>
      <c r="I124" s="24"/>
      <c r="J124" s="24"/>
      <c r="K124" s="24"/>
      <c r="L124" s="16"/>
      <c r="M124" s="93"/>
      <c r="N124" s="88"/>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
      <c r="A125" s="16" t="s">
        <v>58</v>
      </c>
      <c r="B125" s="16"/>
      <c r="C125" s="16"/>
      <c r="D125" s="16"/>
      <c r="E125" s="16"/>
      <c r="F125" s="24"/>
      <c r="G125" s="24"/>
      <c r="H125" s="24"/>
      <c r="I125" s="24"/>
      <c r="J125" s="24"/>
      <c r="K125" s="24"/>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
      <c r="B126" s="16"/>
      <c r="C126" s="16"/>
      <c r="D126" s="16"/>
      <c r="E126" s="16"/>
      <c r="F126" s="24">
        <f>F109/F108-1</f>
        <v>-2.9023746701846931E-2</v>
      </c>
      <c r="G126" s="24"/>
      <c r="H126" s="24"/>
      <c r="I126" s="24"/>
      <c r="J126" s="24"/>
      <c r="K126" s="24"/>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B127" s="16"/>
      <c r="C127" s="16"/>
      <c r="D127" s="16"/>
      <c r="E127" s="16"/>
      <c r="F127" s="24"/>
      <c r="G127" s="24"/>
      <c r="H127" s="24"/>
      <c r="I127" s="24"/>
      <c r="J127" s="24"/>
      <c r="K127" s="24"/>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16"/>
      <c r="C128" s="16"/>
      <c r="D128" s="16"/>
      <c r="E128" s="16"/>
      <c r="F128" s="24"/>
      <c r="G128" s="24"/>
      <c r="H128" s="24"/>
      <c r="I128" s="24"/>
      <c r="J128" s="24"/>
      <c r="K128" s="24"/>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2:45" x14ac:dyDescent="0.3">
      <c r="B129" s="16"/>
      <c r="C129" s="16"/>
      <c r="D129" s="16"/>
      <c r="E129" s="16"/>
      <c r="F129" s="24"/>
      <c r="G129" s="24"/>
      <c r="H129" s="24"/>
      <c r="I129" s="24"/>
      <c r="J129" s="24"/>
      <c r="K129" s="24"/>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2:45" x14ac:dyDescent="0.3">
      <c r="B130" s="16"/>
      <c r="C130" s="16"/>
      <c r="D130" s="16"/>
      <c r="E130" s="16"/>
      <c r="F130" s="24"/>
      <c r="G130" s="24"/>
      <c r="H130" s="24"/>
      <c r="I130" s="24"/>
      <c r="J130" s="24"/>
      <c r="K130" s="24"/>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2:45" x14ac:dyDescent="0.3">
      <c r="B131" s="16"/>
      <c r="C131" s="16"/>
      <c r="D131" s="16"/>
      <c r="E131" s="16"/>
      <c r="F131" s="24"/>
      <c r="G131" s="24"/>
      <c r="H131" s="24"/>
      <c r="I131" s="24"/>
      <c r="J131" s="24"/>
      <c r="K131" s="24"/>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2:45" x14ac:dyDescent="0.3">
      <c r="B132" s="16"/>
      <c r="C132" s="16"/>
      <c r="D132" s="16"/>
      <c r="E132" s="16"/>
      <c r="F132" s="24"/>
      <c r="G132" s="24"/>
      <c r="H132" s="24"/>
      <c r="I132" s="24"/>
      <c r="J132" s="24"/>
      <c r="K132" s="24"/>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2:45" x14ac:dyDescent="0.3">
      <c r="B133" s="16"/>
      <c r="C133" s="16"/>
      <c r="D133" s="16"/>
      <c r="E133" s="16"/>
      <c r="F133" s="24"/>
      <c r="G133" s="24"/>
      <c r="H133" s="24"/>
      <c r="I133" s="24"/>
      <c r="J133" s="24"/>
      <c r="K133" s="24"/>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2:45" x14ac:dyDescent="0.3">
      <c r="B134" s="16"/>
      <c r="C134" s="16"/>
      <c r="D134" s="16"/>
      <c r="E134" s="16"/>
      <c r="F134" s="24"/>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2:45" x14ac:dyDescent="0.3">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2: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2: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2: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2: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2: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2: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2: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2: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2: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t="e">
        <f>#REF!-#REF!</f>
        <v>#REF!</v>
      </c>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B215" s="16"/>
      <c r="C215" s="16"/>
      <c r="D215" s="16"/>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B216" s="16"/>
      <c r="C216" s="16"/>
      <c r="D216" s="16"/>
      <c r="E216" s="16"/>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E217" s="16"/>
      <c r="F217" s="24"/>
      <c r="G217" s="24"/>
      <c r="H217" s="24"/>
      <c r="I217" s="24"/>
      <c r="J217" s="24"/>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F218" s="24"/>
      <c r="G218" s="24"/>
      <c r="H218" s="24"/>
      <c r="I218" s="24"/>
      <c r="J218" s="24"/>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F219" s="25"/>
      <c r="G219" s="25"/>
      <c r="H219" s="25"/>
      <c r="I219" s="25"/>
      <c r="J219" s="25"/>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F220" s="25"/>
      <c r="G220" s="25"/>
      <c r="H220" s="25"/>
      <c r="I220" s="25"/>
      <c r="J220" s="25"/>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F221" s="25"/>
      <c r="G221" s="25"/>
      <c r="H221" s="25"/>
      <c r="I221" s="25"/>
      <c r="J221" s="25"/>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F222" s="25"/>
      <c r="G222" s="25"/>
      <c r="H222" s="25"/>
      <c r="I222" s="25"/>
      <c r="J222" s="25"/>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F223" s="25"/>
      <c r="G223" s="25"/>
      <c r="H223" s="25"/>
      <c r="I223" s="25"/>
      <c r="J223" s="25"/>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F224" s="25"/>
      <c r="G224" s="25"/>
      <c r="H224" s="25"/>
      <c r="I224" s="25"/>
      <c r="J224" s="25"/>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6:45" x14ac:dyDescent="0.3">
      <c r="F225" s="25"/>
      <c r="G225" s="25"/>
      <c r="H225" s="25"/>
      <c r="I225" s="25"/>
      <c r="J225" s="25"/>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6:45" x14ac:dyDescent="0.3">
      <c r="F226" s="25"/>
      <c r="G226" s="25"/>
      <c r="H226" s="25"/>
      <c r="I226" s="25"/>
      <c r="J226" s="25"/>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6: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6: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6: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6: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6: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6: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6: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6: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6: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6: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6: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6: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6: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6: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4"/>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4"/>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5"/>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5"/>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5"/>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5"/>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5"/>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5"/>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5"/>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5"/>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F318" s="25"/>
      <c r="G318" s="25"/>
      <c r="H318" s="25"/>
      <c r="I318" s="25"/>
      <c r="J318" s="25"/>
      <c r="K318" s="25"/>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F319" s="25"/>
      <c r="G319" s="25"/>
      <c r="H319" s="25"/>
      <c r="I319" s="25"/>
      <c r="J319" s="25"/>
      <c r="K319" s="25"/>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17:45" x14ac:dyDescent="0.3">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17:45" x14ac:dyDescent="0.3">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17:45" x14ac:dyDescent="0.3">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17:45" x14ac:dyDescent="0.3">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17:45" x14ac:dyDescent="0.3">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17:45" x14ac:dyDescent="0.3">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17:45" x14ac:dyDescent="0.3">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row r="328" spans="17:45" x14ac:dyDescent="0.3">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row>
    <row r="329" spans="17:45" x14ac:dyDescent="0.3">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2"/>
  <sheetViews>
    <sheetView showGridLines="0" zoomScale="90" zoomScaleNormal="90" zoomScaleSheetLayoutView="143" zoomScalePageLayoutView="123" workbookViewId="0">
      <pane xSplit="2" ySplit="8" topLeftCell="C113" activePane="bottomRight" state="frozen"/>
      <selection activeCell="B107" sqref="B107"/>
      <selection pane="topRight" activeCell="B107" sqref="B107"/>
      <selection pane="bottomLeft" activeCell="B107" sqref="B107"/>
      <selection pane="bottomRight" activeCell="L115" sqref="L115"/>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62</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x14ac:dyDescent="0.3">
      <c r="B117" s="42">
        <v>45383</v>
      </c>
      <c r="C117" s="38">
        <v>352</v>
      </c>
      <c r="D117" s="38">
        <v>608</v>
      </c>
      <c r="E117" s="38">
        <v>608</v>
      </c>
      <c r="G117" s="38">
        <v>464</v>
      </c>
      <c r="H117" s="38">
        <v>592</v>
      </c>
      <c r="I117" s="38">
        <v>352</v>
      </c>
    </row>
    <row r="118" spans="1:36" x14ac:dyDescent="0.3">
      <c r="B118" s="41">
        <v>45413</v>
      </c>
      <c r="C118" s="36">
        <v>352</v>
      </c>
      <c r="D118" s="36">
        <v>608</v>
      </c>
      <c r="E118" s="36">
        <v>608</v>
      </c>
      <c r="F118" s="35"/>
      <c r="G118" s="36">
        <v>464</v>
      </c>
      <c r="H118" s="36">
        <v>592</v>
      </c>
      <c r="I118" s="36">
        <v>352</v>
      </c>
    </row>
    <row r="119" spans="1:36" x14ac:dyDescent="0.3">
      <c r="B119" s="42">
        <v>45444</v>
      </c>
      <c r="C119" s="38">
        <v>352</v>
      </c>
      <c r="D119" s="38">
        <v>608</v>
      </c>
      <c r="E119" s="38">
        <v>608</v>
      </c>
      <c r="F119" s="35"/>
      <c r="G119" s="38">
        <v>464</v>
      </c>
      <c r="H119" s="38">
        <v>592</v>
      </c>
      <c r="I119" s="38">
        <v>352</v>
      </c>
    </row>
    <row r="120" spans="1:36" x14ac:dyDescent="0.3">
      <c r="B120" s="41">
        <v>45474</v>
      </c>
      <c r="C120" s="36">
        <v>342</v>
      </c>
      <c r="D120" s="36">
        <v>574</v>
      </c>
      <c r="E120" s="36">
        <v>574</v>
      </c>
      <c r="F120" s="35"/>
      <c r="G120" s="36">
        <v>453</v>
      </c>
      <c r="H120" s="36">
        <v>547</v>
      </c>
      <c r="I120" s="36">
        <v>342</v>
      </c>
    </row>
    <row r="121" spans="1:36" x14ac:dyDescent="0.3">
      <c r="B121" s="42">
        <v>45505</v>
      </c>
      <c r="C121" s="38">
        <v>342</v>
      </c>
      <c r="D121" s="38">
        <v>574</v>
      </c>
      <c r="E121" s="38">
        <v>574</v>
      </c>
      <c r="F121" s="35"/>
      <c r="G121" s="38">
        <v>453</v>
      </c>
      <c r="H121" s="38">
        <v>547</v>
      </c>
      <c r="I121" s="38">
        <v>342</v>
      </c>
    </row>
    <row r="122" spans="1:36" x14ac:dyDescent="0.3">
      <c r="B122" s="41">
        <v>45536</v>
      </c>
      <c r="C122" s="36">
        <v>342</v>
      </c>
      <c r="D122" s="36">
        <v>574</v>
      </c>
      <c r="E122" s="36">
        <v>574</v>
      </c>
      <c r="F122" s="35"/>
      <c r="G122" s="36">
        <v>453</v>
      </c>
      <c r="H122" s="36">
        <v>547</v>
      </c>
      <c r="I122" s="36">
        <v>342</v>
      </c>
    </row>
    <row r="125" spans="1:36" x14ac:dyDescent="0.3">
      <c r="A125" s="16" t="s">
        <v>54</v>
      </c>
      <c r="B125" s="16"/>
      <c r="C125" s="24"/>
      <c r="D125" s="24"/>
      <c r="E125" s="24"/>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row>
    <row r="126" spans="1:36" x14ac:dyDescent="0.3">
      <c r="A126" s="16" t="s">
        <v>55</v>
      </c>
      <c r="B126" s="16"/>
      <c r="C126" s="24"/>
      <c r="D126" s="24"/>
      <c r="E126" s="24"/>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3">
      <c r="B127" s="16"/>
      <c r="C127" s="24"/>
      <c r="D127" s="24"/>
      <c r="E127" s="24"/>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3">
      <c r="B128" s="16"/>
      <c r="C128" s="24"/>
      <c r="D128" s="24"/>
      <c r="E128" s="24"/>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2:36" x14ac:dyDescent="0.3">
      <c r="B129" s="16"/>
      <c r="C129" s="24"/>
      <c r="D129" s="24"/>
      <c r="E129" s="24"/>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2:36" x14ac:dyDescent="0.3">
      <c r="B130" s="16"/>
      <c r="C130" s="24"/>
      <c r="D130" s="24"/>
      <c r="E130" s="24"/>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2:36" x14ac:dyDescent="0.3">
      <c r="B131" s="16"/>
      <c r="C131" s="24"/>
      <c r="D131" s="24"/>
      <c r="E131" s="24"/>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36" x14ac:dyDescent="0.3">
      <c r="B132" s="16"/>
      <c r="C132" s="24"/>
      <c r="D132" s="24"/>
      <c r="E132" s="24"/>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2:36" x14ac:dyDescent="0.3">
      <c r="B133" s="16"/>
      <c r="C133" s="24"/>
      <c r="D133" s="24"/>
      <c r="E133" s="24"/>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2:36" x14ac:dyDescent="0.3">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2:36" x14ac:dyDescent="0.3">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2: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2: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2: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2: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2: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2: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2: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2: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2: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B218" s="16"/>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B219" s="16"/>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C220" s="24"/>
      <c r="D220" s="24"/>
      <c r="E220" s="24"/>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C221" s="24"/>
      <c r="D221" s="24"/>
      <c r="E221" s="24"/>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C222" s="25"/>
      <c r="D222" s="25"/>
      <c r="E222" s="25"/>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C223" s="25"/>
      <c r="D223" s="25"/>
      <c r="E223" s="25"/>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C224" s="25"/>
      <c r="D224" s="25"/>
      <c r="E224" s="25"/>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3:36" x14ac:dyDescent="0.3">
      <c r="C225" s="25"/>
      <c r="D225" s="25"/>
      <c r="E225" s="25"/>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3:36" x14ac:dyDescent="0.3">
      <c r="C226" s="25"/>
      <c r="D226" s="25"/>
      <c r="E226" s="25"/>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3:36" x14ac:dyDescent="0.3">
      <c r="C227" s="25"/>
      <c r="D227" s="25"/>
      <c r="E227" s="25"/>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3:36" x14ac:dyDescent="0.3">
      <c r="C228" s="25"/>
      <c r="D228" s="25"/>
      <c r="E228" s="25"/>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3: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3: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3: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3: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3: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3: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3: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3: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3: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3: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3: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3: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3:36" x14ac:dyDescent="0.3">
      <c r="C321" s="25"/>
      <c r="D321" s="25"/>
      <c r="E321" s="2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3:36" x14ac:dyDescent="0.3">
      <c r="C322" s="25"/>
      <c r="D322" s="25"/>
      <c r="E322" s="2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3:36" x14ac:dyDescent="0.3">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3:36" x14ac:dyDescent="0.3">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3:36" x14ac:dyDescent="0.3">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3:36" x14ac:dyDescent="0.3">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3:36" x14ac:dyDescent="0.3">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3:36" x14ac:dyDescent="0.3">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3:36" x14ac:dyDescent="0.3">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3: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row r="331" spans="3:36" x14ac:dyDescent="0.3">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3:36" x14ac:dyDescent="0.3">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20"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topLeftCell="A11" zoomScaleNormal="100" workbookViewId="0">
      <selection activeCell="G32" sqref="G32"/>
    </sheetView>
  </sheetViews>
  <sheetFormatPr defaultRowHeight="12.5" x14ac:dyDescent="0.25"/>
  <cols>
    <col min="1" max="1" width="8.69921875" style="2" customWidth="1"/>
    <col min="2" max="2" width="10" style="2" customWidth="1"/>
    <col min="3"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45536</v>
      </c>
    </row>
    <row r="4" spans="1:17" ht="15.5" x14ac:dyDescent="0.25">
      <c r="B4" s="48">
        <v>45536</v>
      </c>
      <c r="C4" s="49">
        <f>VLOOKUP($B4,'AMPE-MCVE'!$B:$K,8,FALSE)</f>
        <v>32.100502512562812</v>
      </c>
      <c r="D4" s="49">
        <f>VLOOKUP($B4,'AMPE-MCVE'!$B:$K,9,FALSE)</f>
        <v>0.72347740667976423</v>
      </c>
      <c r="E4" s="49">
        <f>VLOOKUP($B4,'AMPE-MCVE'!$B:$K,10,FALSE)</f>
        <v>14.32504716981132</v>
      </c>
      <c r="F4" s="50">
        <f>VLOOKUP($B4,'AMPE-MCVE'!$B:$D,2,FALSE)</f>
        <v>47.149027089053895</v>
      </c>
      <c r="G4" s="49"/>
      <c r="P4" s="78"/>
      <c r="Q4" s="78"/>
    </row>
    <row r="5" spans="1:17" ht="15.5" x14ac:dyDescent="0.25">
      <c r="B5" s="51">
        <f>EDATE(B4,-1)</f>
        <v>45505</v>
      </c>
      <c r="C5" s="52">
        <f>VLOOKUP($B5,'AMPE-MCVE'!$B:$K,8,FALSE)</f>
        <v>28.934673366834172</v>
      </c>
      <c r="D5" s="52">
        <f>VLOOKUP($B5,'AMPE-MCVE'!$B:$K,9,FALSE)</f>
        <v>0.65962671905697445</v>
      </c>
      <c r="E5" s="52">
        <f>VLOOKUP($B5,'AMPE-MCVE'!$B:$K,10,FALSE)</f>
        <v>13.09061320754717</v>
      </c>
      <c r="F5" s="53">
        <f>VLOOKUP($B5,'AMPE-MCVE'!$B:$D,2,FALSE)</f>
        <v>42.684913293438314</v>
      </c>
      <c r="G5" s="70">
        <f>($F$4-F5)/F5</f>
        <v>0.10458294163389625</v>
      </c>
      <c r="P5" s="78"/>
      <c r="Q5" s="78"/>
    </row>
    <row r="6" spans="1:17" ht="15.5" x14ac:dyDescent="0.25">
      <c r="B6" s="54">
        <f>EDATE(B4,-12)</f>
        <v>45170</v>
      </c>
      <c r="C6" s="49">
        <f>VLOOKUP($B6,'AMPE-MCVE'!$B:$K,8,FALSE)</f>
        <v>16.894472361809044</v>
      </c>
      <c r="D6" s="49">
        <f>VLOOKUP($B6,'AMPE-MCVE'!$B:$K,9,FALSE)</f>
        <v>0.56237721021610998</v>
      </c>
      <c r="E6" s="49">
        <f>VLOOKUP($B6,'AMPE-MCVE'!$B:$K,10,FALSE)</f>
        <v>11.351792452830189</v>
      </c>
      <c r="F6" s="50">
        <f>VLOOKUP($B6,'AMPE-MCVE'!$B:$D,2,FALSE)</f>
        <v>28.808642024855342</v>
      </c>
      <c r="G6" s="55">
        <f>($F$4-F6)/F6</f>
        <v>0.6366278927127127</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45536</v>
      </c>
      <c r="P9" s="78"/>
      <c r="Q9" s="78"/>
    </row>
    <row r="10" spans="1:17" ht="15.5" x14ac:dyDescent="0.25">
      <c r="B10" s="48">
        <f>B4</f>
        <v>45536</v>
      </c>
      <c r="C10" s="49">
        <f>VLOOKUP($B10,'AMPE-MCVE'!$B:$R,15,FALSE)</f>
        <v>40.626373626373628</v>
      </c>
      <c r="D10" s="49">
        <f>VLOOKUP($B10,'AMPE-MCVE'!$B:$R,16,FALSE)</f>
        <v>1.2104508930856239</v>
      </c>
      <c r="E10" s="49">
        <f>VLOOKUP($B10,'AMPE-MCVE'!$B:$R,17,FALSE)</f>
        <v>2.9697560975609756</v>
      </c>
      <c r="F10" s="50">
        <f>VLOOKUP($B10,'AMPE-MCVE'!$B:$D,3,FALSE)</f>
        <v>44.806580617020224</v>
      </c>
      <c r="G10" s="49"/>
    </row>
    <row r="11" spans="1:17" ht="15.5" x14ac:dyDescent="0.25">
      <c r="B11" s="51">
        <f>B5</f>
        <v>45505</v>
      </c>
      <c r="C11" s="52">
        <f>VLOOKUP($B11,'AMPE-MCVE'!$B:$R,15,FALSE)</f>
        <v>37.439560439560438</v>
      </c>
      <c r="D11" s="52">
        <f>VLOOKUP($B11,'AMPE-MCVE'!$B:$R,16,FALSE)</f>
        <v>0.84457728437233126</v>
      </c>
      <c r="E11" s="52">
        <f>VLOOKUP($B11,'AMPE-MCVE'!$B:$R,17,FALSE)</f>
        <v>2.662439024390244</v>
      </c>
      <c r="F11" s="53">
        <f>VLOOKUP($B11,'AMPE-MCVE'!$B:$D,3,FALSE)</f>
        <v>40.946576748323018</v>
      </c>
      <c r="G11" s="70">
        <f>($F$10-F11)/F11</f>
        <v>9.4269269258395169E-2</v>
      </c>
    </row>
    <row r="12" spans="1:17" ht="15.5" x14ac:dyDescent="0.25">
      <c r="B12" s="54">
        <f>B6</f>
        <v>45170</v>
      </c>
      <c r="C12" s="49">
        <f>VLOOKUP($B12,'AMPE-MCVE'!$B:$R,15,FALSE)</f>
        <v>30.791208791208792</v>
      </c>
      <c r="D12" s="49">
        <f>VLOOKUP($B12,'AMPE-MCVE'!$B:$R,16,FALSE)</f>
        <v>-0.11656069304689561</v>
      </c>
      <c r="E12" s="49">
        <f>VLOOKUP($B12,'AMPE-MCVE'!$B:$R,17,FALSE)</f>
        <v>1.4936585365853658</v>
      </c>
      <c r="F12" s="50">
        <f>VLOOKUP($B12,'AMPE-MCVE'!$B:$D,3,FALSE)</f>
        <v>32.16830663474726</v>
      </c>
      <c r="G12" s="55">
        <f>($F$10-F12)/F12</f>
        <v>0.39287967892663245</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45383</v>
      </c>
      <c r="D33" s="79">
        <f>VLOOKUP($C33,MMV!$B:$D,2,FALSE)</f>
        <v>35.682998771983478</v>
      </c>
      <c r="E33" s="79">
        <f>VLOOKUP($C33,MMV!$B:$D,3,FALSE)</f>
        <v>-0.66646551346285321</v>
      </c>
    </row>
    <row r="34" spans="1:6" ht="15.5" x14ac:dyDescent="0.25">
      <c r="A34" s="3"/>
      <c r="C34" s="51">
        <f t="shared" si="0"/>
        <v>45413</v>
      </c>
      <c r="D34" s="52">
        <f>VLOOKUP($C34,MMV!$B:$D,2,FALSE)</f>
        <v>36.538642873957642</v>
      </c>
      <c r="E34" s="52">
        <f>VLOOKUP($C34,MMV!$B:$D,3,FALSE)</f>
        <v>0.85564410197416407</v>
      </c>
    </row>
    <row r="35" spans="1:6" ht="15.5" x14ac:dyDescent="0.25">
      <c r="C35" s="48">
        <f t="shared" si="0"/>
        <v>45444</v>
      </c>
      <c r="D35" s="49">
        <f>VLOOKUP($C35,MMV!$B:$D,2,FALSE)</f>
        <v>38.65149442735521</v>
      </c>
      <c r="E35" s="49">
        <f>VLOOKUP($C35,MMV!$B:$D,3,FALSE)</f>
        <v>2.1128515533975687</v>
      </c>
    </row>
    <row r="36" spans="1:6" ht="15.5" x14ac:dyDescent="0.25">
      <c r="C36" s="51">
        <f t="shared" si="0"/>
        <v>45474</v>
      </c>
      <c r="D36" s="52">
        <f>VLOOKUP($C36,MMV!$B:$D,2,FALSE)</f>
        <v>39.819190301524969</v>
      </c>
      <c r="E36" s="52">
        <f>VLOOKUP($C36,MMV!$B:$D,3,FALSE)</f>
        <v>1.167695874169759</v>
      </c>
    </row>
    <row r="37" spans="1:6" ht="15.5" x14ac:dyDescent="0.25">
      <c r="C37" s="48">
        <f>EDATE(C38,-1)</f>
        <v>45505</v>
      </c>
      <c r="D37" s="49">
        <f>VLOOKUP($C37,MMV!$B:$D,2,FALSE)</f>
        <v>41.294244057346077</v>
      </c>
      <c r="E37" s="49">
        <f>VLOOKUP($C37,MMV!$B:$D,3,FALSE)</f>
        <v>1.4750537558211079</v>
      </c>
    </row>
    <row r="38" spans="1:6" ht="15.5" x14ac:dyDescent="0.25">
      <c r="C38" s="51">
        <f>B4</f>
        <v>45536</v>
      </c>
      <c r="D38" s="52">
        <f>VLOOKUP($C38,MMV!$B:$D,2,FALSE)</f>
        <v>45.275069911426954</v>
      </c>
      <c r="E38" s="52">
        <f>VLOOKUP($C38,MMV!$B:$D,3,FALSE)</f>
        <v>3.9808258540808765</v>
      </c>
      <c r="F38" s="90"/>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U31" sqref="U31"/>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85" zoomScaleNormal="85" workbookViewId="0">
      <selection activeCell="M19" sqref="M19"/>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1" t="s">
        <v>61</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60</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Freya Shuttleworth</cp:lastModifiedBy>
  <dcterms:created xsi:type="dcterms:W3CDTF">2019-09-17T09:10:32Z</dcterms:created>
  <dcterms:modified xsi:type="dcterms:W3CDTF">2024-09-25T09:58:56Z</dcterms:modified>
</cp:coreProperties>
</file>